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DRE" sheetId="1" r:id="rId1"/>
  </sheets>
  <definedNames>
    <definedName name="ACOFINS">'DRE'!$D$19</definedName>
    <definedName name="ACSL">'DRE'!$D$20</definedName>
    <definedName name="Adicional_Noturno">'DRE'!$F$51</definedName>
    <definedName name="Adicional_Periculosidade">'DRE'!$F$52</definedName>
    <definedName name="AINSS_EMPRESA">'DRE'!$G$119</definedName>
    <definedName name="AIPI_ICMS">'DRE'!$D$22</definedName>
    <definedName name="AIRPJ">'DRE'!$D$21</definedName>
    <definedName name="AISS">'DRE'!$D$23</definedName>
    <definedName name="APIS">'DRE'!$D$18</definedName>
    <definedName name="Auxílio_Doença">'DRE'!$F$47</definedName>
    <definedName name="Auxílio_Maternidade">'DRE'!$F$49</definedName>
    <definedName name="Aviso_Prévio_Indenizado">'DRE'!$F$44</definedName>
    <definedName name="Base_Calc">'DRE'!$F$15</definedName>
    <definedName name="CMV">'DRE'!$F$30</definedName>
    <definedName name="COFINS_SN">'DRE'!$H$19</definedName>
    <definedName name="CSL_SN">'DRE'!$H$20</definedName>
    <definedName name="Custos_Fixos">'DRE'!$F$37</definedName>
    <definedName name="Décimo_Terceiro">'DRE'!$F$41</definedName>
    <definedName name="Desp_Financeiras">'DRE'!$F$71</definedName>
    <definedName name="Despesas_Fixas">'DRE'!$F$36</definedName>
    <definedName name="Diárias_Viagem">'DRE'!$F$50</definedName>
    <definedName name="DSR">'DRE'!$F$53</definedName>
    <definedName name="Excedente_Horas_Extras">'DRE'!$F$48</definedName>
    <definedName name="Fat_Bruto">'DRE'!$F$14</definedName>
    <definedName name="Férias">'DRE'!$F$42</definedName>
    <definedName name="Férias_Indenizadas">'DRE'!$F$45</definedName>
    <definedName name="FGTS">'DRE'!$F$40</definedName>
    <definedName name="Impostos_Lucro_Líquido">'DRE'!$F$77</definedName>
    <definedName name="INSS">'DRE'!$F$54</definedName>
    <definedName name="IPI_ICMS_SN">'DRE'!$H$22</definedName>
    <definedName name="IRPJ_SN">'DRE'!$H$21</definedName>
    <definedName name="ISS_SN">'DRE'!$H$23</definedName>
    <definedName name="Lucro_Liquido">'DRE'!$F$76</definedName>
    <definedName name="Lucro_Operacional">'DRE'!$F$70</definedName>
    <definedName name="Lucro_Prejuizo_Após_IR">'DRE'!$F$81</definedName>
    <definedName name="Lucros_A_Distribuir">'DRE'!$F$83</definedName>
    <definedName name="N_Funcionários">'DRE'!$D$3</definedName>
    <definedName name="PIS_SN">'DRE'!$H$18</definedName>
    <definedName name="Rec_Liq">'DRE'!$F$29</definedName>
    <definedName name="Rec_Oper">'DRE'!$F$35</definedName>
    <definedName name="Red_Base_Calc">'DRE'!$D$6</definedName>
    <definedName name="Reserva_Técnica">'DRE'!$F$82</definedName>
    <definedName name="RH">'DRE'!$F$38</definedName>
    <definedName name="Salários">'DRE'!$F$39</definedName>
    <definedName name="Taxa_Desligamento">'DRE'!$D$5</definedName>
    <definedName name="Terço_Férias">'DRE'!$F$43</definedName>
    <definedName name="TT_Abatimentos_Receita">'DRE'!$F$16</definedName>
    <definedName name="TT_Impostos">'DRE'!$F$17</definedName>
    <definedName name="TT_Outros_Abatimentos">'DRE'!$F$24</definedName>
    <definedName name="VT_VR">'DRE'!$F$46</definedName>
  </definedNames>
  <calcPr fullCalcOnLoad="1"/>
</workbook>
</file>

<file path=xl/sharedStrings.xml><?xml version="1.0" encoding="utf-8"?>
<sst xmlns="http://schemas.openxmlformats.org/spreadsheetml/2006/main" count="109" uniqueCount="77">
  <si>
    <t>Valor</t>
  </si>
  <si>
    <t>Receita Bruta (Faturamento)</t>
  </si>
  <si>
    <t>PIS</t>
  </si>
  <si>
    <t>COFINS</t>
  </si>
  <si>
    <t>Base de Cálculo para os tributos</t>
  </si>
  <si>
    <t>DRE - Lucro Real ou Presumido - Valores aproximados</t>
  </si>
  <si>
    <t>Reserva técnica</t>
  </si>
  <si>
    <t>Sim</t>
  </si>
  <si>
    <t>Não</t>
  </si>
  <si>
    <t>% Fat.</t>
  </si>
  <si>
    <t>(-) Abatimentos da Receita</t>
  </si>
  <si>
    <t>Receita Líquida</t>
  </si>
  <si>
    <t>Custo de Produção</t>
  </si>
  <si>
    <t>Custo de Mercadoria</t>
  </si>
  <si>
    <t>Insumos para Serviço</t>
  </si>
  <si>
    <t>Receita Operacional</t>
  </si>
  <si>
    <t>Custos fixos (aluguel, luz, telefone...)</t>
  </si>
  <si>
    <t>Salários</t>
  </si>
  <si>
    <t>FGTS</t>
  </si>
  <si>
    <t>Férias</t>
  </si>
  <si>
    <t>1/3 Férias</t>
  </si>
  <si>
    <t>Aviso Prévio Indenizado</t>
  </si>
  <si>
    <t>Vale Transporte / Refeição</t>
  </si>
  <si>
    <t>(lucro presumido ou médio para o lucro real)</t>
  </si>
  <si>
    <t>(Presumido)</t>
  </si>
  <si>
    <t>(Médio)</t>
  </si>
  <si>
    <t>(Lucro presumido ou médio para o lucro real)</t>
  </si>
  <si>
    <t>Alíquota</t>
  </si>
  <si>
    <t>Auxílio Doença</t>
  </si>
  <si>
    <t>Excedente de Horas Extras</t>
  </si>
  <si>
    <t>Auxílio Maternidade</t>
  </si>
  <si>
    <t>Diárias de viagem</t>
  </si>
  <si>
    <t>Férias indenizadas</t>
  </si>
  <si>
    <t>Adicional noturno</t>
  </si>
  <si>
    <t>Adicional de periculosidade</t>
  </si>
  <si>
    <t>13º Salário</t>
  </si>
  <si>
    <t>Descanso Semanal Remunerado (DSR)</t>
  </si>
  <si>
    <t>INSS SOBRE:</t>
  </si>
  <si>
    <t>Aplicação da tese</t>
  </si>
  <si>
    <t>Paga?</t>
  </si>
  <si>
    <t>Lucro Operacional</t>
  </si>
  <si>
    <t>Capital de terceiros</t>
  </si>
  <si>
    <t>Administradoras de Cartão de crédito</t>
  </si>
  <si>
    <t>Inadimplentes</t>
  </si>
  <si>
    <t>Lucro Líquido</t>
  </si>
  <si>
    <t>CSLL</t>
  </si>
  <si>
    <t>IRPJ</t>
  </si>
  <si>
    <t>Lucro / Prejuizo após IR</t>
  </si>
  <si>
    <t>CENÁRIO ATUAL</t>
  </si>
  <si>
    <t>Lucros a serem distribuídos</t>
  </si>
  <si>
    <t>(-) Custo de Mercadoria Vendida</t>
  </si>
  <si>
    <t>(-) Impostos</t>
  </si>
  <si>
    <t>(-) Outros abatimentos</t>
  </si>
  <si>
    <t>(-) Despesas Fixas</t>
  </si>
  <si>
    <t>(-) Despesas Financeiras</t>
  </si>
  <si>
    <t>Impostos sobre o lucro líquido</t>
  </si>
  <si>
    <t>CSL presumido</t>
  </si>
  <si>
    <t>IRPJ lucro presumido</t>
  </si>
  <si>
    <t>IPI e/ou ICMS</t>
  </si>
  <si>
    <t>ISS</t>
  </si>
  <si>
    <t>Comissões de vendas</t>
  </si>
  <si>
    <t>Descontos comerciais</t>
  </si>
  <si>
    <t>Devoluções</t>
  </si>
  <si>
    <t>Provisão 13º Salário</t>
  </si>
  <si>
    <t>Provisão Férias</t>
  </si>
  <si>
    <t>Provisão 1/3 Férias</t>
  </si>
  <si>
    <t>Provisão Aviso Prévio Indenizado</t>
  </si>
  <si>
    <t>Provisão Férias indenizadas</t>
  </si>
  <si>
    <t>Nº de Funcionários</t>
  </si>
  <si>
    <t>Média de Funcionários demitidos por mês</t>
  </si>
  <si>
    <t>Taxa de Desligamento</t>
  </si>
  <si>
    <t>Aplicação Teses</t>
  </si>
  <si>
    <t>Economia mensal Grandes Teses</t>
  </si>
  <si>
    <t>Meses a recuperar</t>
  </si>
  <si>
    <t>Total a recuperar</t>
  </si>
  <si>
    <t xml:space="preserve">Redução da base de cálculo </t>
  </si>
  <si>
    <t>RH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</si>
</sst>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0.000%"/>
    <numFmt numFmtId="183" formatCode="0.0000%"/>
    <numFmt numFmtId="184" formatCode="_(&quot;R$&quot;* #,##0.0_);_(&quot;R$&quot;* \(#,##0.0\);_(&quot;R$&quot;* &quot;-&quot;??_);_(@_)"/>
    <numFmt numFmtId="185" formatCode="0.00000%"/>
    <numFmt numFmtId="186" formatCode="&quot;R$ &quot;#,##0.00"/>
    <numFmt numFmtId="187" formatCode="_(* #,##0.0_);_(* \(#,##0.0\);_(* &quot;-&quot;??_);_(@_)"/>
    <numFmt numFmtId="188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0" fontId="21" fillId="6" borderId="10" xfId="0" applyFont="1" applyFill="1" applyBorder="1" applyAlignment="1">
      <alignment/>
    </xf>
    <xf numFmtId="177" fontId="21" fillId="6" borderId="10" xfId="45" applyFont="1" applyFill="1" applyBorder="1" applyAlignment="1">
      <alignment/>
    </xf>
    <xf numFmtId="10" fontId="21" fillId="6" borderId="10" xfId="49" applyNumberFormat="1" applyFont="1" applyFill="1" applyBorder="1" applyAlignment="1">
      <alignment/>
    </xf>
    <xf numFmtId="9" fontId="21" fillId="0" borderId="0" xfId="49" applyFont="1" applyAlignment="1">
      <alignment/>
    </xf>
    <xf numFmtId="177" fontId="20" fillId="12" borderId="10" xfId="45" applyFont="1" applyFill="1" applyBorder="1" applyAlignment="1">
      <alignment/>
    </xf>
    <xf numFmtId="10" fontId="20" fillId="12" borderId="10" xfId="49" applyNumberFormat="1" applyFont="1" applyFill="1" applyBorder="1" applyAlignment="1">
      <alignment/>
    </xf>
    <xf numFmtId="0" fontId="21" fillId="6" borderId="11" xfId="0" applyFont="1" applyFill="1" applyBorder="1" applyAlignment="1">
      <alignment/>
    </xf>
    <xf numFmtId="0" fontId="21" fillId="6" borderId="12" xfId="0" applyFont="1" applyFill="1" applyBorder="1" applyAlignment="1">
      <alignment/>
    </xf>
    <xf numFmtId="177" fontId="23" fillId="18" borderId="10" xfId="45" applyFont="1" applyFill="1" applyBorder="1" applyAlignment="1">
      <alignment/>
    </xf>
    <xf numFmtId="10" fontId="23" fillId="18" borderId="10" xfId="49" applyNumberFormat="1" applyFont="1" applyFill="1" applyBorder="1" applyAlignment="1">
      <alignment/>
    </xf>
    <xf numFmtId="177" fontId="23" fillId="33" borderId="10" xfId="45" applyFont="1" applyFill="1" applyBorder="1" applyAlignment="1">
      <alignment/>
    </xf>
    <xf numFmtId="10" fontId="23" fillId="33" borderId="10" xfId="49" applyNumberFormat="1" applyFont="1" applyFill="1" applyBorder="1" applyAlignment="1">
      <alignment/>
    </xf>
    <xf numFmtId="0" fontId="20" fillId="12" borderId="11" xfId="0" applyFont="1" applyFill="1" applyBorder="1" applyAlignment="1">
      <alignment/>
    </xf>
    <xf numFmtId="0" fontId="20" fillId="12" borderId="13" xfId="0" applyFont="1" applyFill="1" applyBorder="1" applyAlignment="1">
      <alignment/>
    </xf>
    <xf numFmtId="0" fontId="20" fillId="12" borderId="12" xfId="0" applyFont="1" applyFill="1" applyBorder="1" applyAlignment="1">
      <alignment/>
    </xf>
    <xf numFmtId="0" fontId="0" fillId="0" borderId="0" xfId="0" applyFont="1" applyAlignment="1">
      <alignment/>
    </xf>
    <xf numFmtId="0" fontId="45" fillId="6" borderId="11" xfId="0" applyFont="1" applyFill="1" applyBorder="1" applyAlignment="1">
      <alignment/>
    </xf>
    <xf numFmtId="0" fontId="20" fillId="12" borderId="12" xfId="0" applyFont="1" applyFill="1" applyBorder="1" applyAlignment="1">
      <alignment horizontal="center"/>
    </xf>
    <xf numFmtId="0" fontId="21" fillId="19" borderId="11" xfId="0" applyFont="1" applyFill="1" applyBorder="1" applyAlignment="1">
      <alignment horizontal="center"/>
    </xf>
    <xf numFmtId="0" fontId="21" fillId="16" borderId="11" xfId="0" applyFont="1" applyFill="1" applyBorder="1" applyAlignment="1">
      <alignment horizontal="center"/>
    </xf>
    <xf numFmtId="177" fontId="25" fillId="33" borderId="10" xfId="45" applyFont="1" applyFill="1" applyBorder="1" applyAlignment="1">
      <alignment/>
    </xf>
    <xf numFmtId="10" fontId="25" fillId="33" borderId="10" xfId="49" applyNumberFormat="1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177" fontId="46" fillId="34" borderId="10" xfId="45" applyFont="1" applyFill="1" applyBorder="1" applyAlignment="1">
      <alignment horizontal="center"/>
    </xf>
    <xf numFmtId="177" fontId="20" fillId="12" borderId="12" xfId="0" applyNumberFormat="1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177" fontId="46" fillId="35" borderId="10" xfId="45" applyFont="1" applyFill="1" applyBorder="1" applyAlignment="1">
      <alignment horizontal="center"/>
    </xf>
    <xf numFmtId="177" fontId="25" fillId="36" borderId="10" xfId="45" applyFont="1" applyFill="1" applyBorder="1" applyAlignment="1">
      <alignment/>
    </xf>
    <xf numFmtId="10" fontId="25" fillId="36" borderId="10" xfId="49" applyNumberFormat="1" applyFont="1" applyFill="1" applyBorder="1" applyAlignment="1">
      <alignment/>
    </xf>
    <xf numFmtId="177" fontId="23" fillId="36" borderId="10" xfId="45" applyFont="1" applyFill="1" applyBorder="1" applyAlignment="1">
      <alignment/>
    </xf>
    <xf numFmtId="10" fontId="23" fillId="36" borderId="10" xfId="49" applyNumberFormat="1" applyFont="1" applyFill="1" applyBorder="1" applyAlignment="1">
      <alignment/>
    </xf>
    <xf numFmtId="177" fontId="23" fillId="16" borderId="10" xfId="45" applyFont="1" applyFill="1" applyBorder="1" applyAlignment="1">
      <alignment/>
    </xf>
    <xf numFmtId="10" fontId="23" fillId="16" borderId="10" xfId="49" applyNumberFormat="1" applyFont="1" applyFill="1" applyBorder="1" applyAlignment="1">
      <alignment/>
    </xf>
    <xf numFmtId="177" fontId="20" fillId="10" borderId="10" xfId="45" applyFont="1" applyFill="1" applyBorder="1" applyAlignment="1">
      <alignment/>
    </xf>
    <xf numFmtId="10" fontId="20" fillId="10" borderId="10" xfId="49" applyNumberFormat="1" applyFont="1" applyFill="1" applyBorder="1" applyAlignment="1">
      <alignment/>
    </xf>
    <xf numFmtId="177" fontId="21" fillId="4" borderId="10" xfId="45" applyFont="1" applyFill="1" applyBorder="1" applyAlignment="1">
      <alignment/>
    </xf>
    <xf numFmtId="10" fontId="21" fillId="4" borderId="10" xfId="49" applyNumberFormat="1" applyFont="1" applyFill="1" applyBorder="1" applyAlignment="1">
      <alignment/>
    </xf>
    <xf numFmtId="177" fontId="20" fillId="10" borderId="12" xfId="0" applyNumberFormat="1" applyFont="1" applyFill="1" applyBorder="1" applyAlignment="1">
      <alignment horizontal="center"/>
    </xf>
    <xf numFmtId="0" fontId="21" fillId="12" borderId="10" xfId="0" applyFont="1" applyFill="1" applyBorder="1" applyAlignment="1">
      <alignment/>
    </xf>
    <xf numFmtId="0" fontId="23" fillId="10" borderId="10" xfId="0" applyFont="1" applyFill="1" applyBorder="1" applyAlignment="1">
      <alignment/>
    </xf>
    <xf numFmtId="0" fontId="20" fillId="12" borderId="10" xfId="0" applyFont="1" applyFill="1" applyBorder="1" applyAlignment="1">
      <alignment horizontal="center"/>
    </xf>
    <xf numFmtId="10" fontId="21" fillId="6" borderId="12" xfId="49" applyNumberFormat="1" applyFont="1" applyFill="1" applyBorder="1" applyAlignment="1">
      <alignment horizontal="center"/>
    </xf>
    <xf numFmtId="0" fontId="21" fillId="6" borderId="11" xfId="0" applyFont="1" applyFill="1" applyBorder="1" applyAlignment="1">
      <alignment horizontal="left"/>
    </xf>
    <xf numFmtId="0" fontId="21" fillId="6" borderId="13" xfId="0" applyFont="1" applyFill="1" applyBorder="1" applyAlignment="1">
      <alignment horizontal="left"/>
    </xf>
    <xf numFmtId="0" fontId="21" fillId="6" borderId="12" xfId="0" applyFont="1" applyFill="1" applyBorder="1" applyAlignment="1">
      <alignment horizontal="left"/>
    </xf>
    <xf numFmtId="0" fontId="23" fillId="18" borderId="11" xfId="0" applyFont="1" applyFill="1" applyBorder="1" applyAlignment="1">
      <alignment horizontal="left"/>
    </xf>
    <xf numFmtId="0" fontId="23" fillId="18" borderId="13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left"/>
    </xf>
    <xf numFmtId="0" fontId="20" fillId="12" borderId="11" xfId="0" applyFont="1" applyFill="1" applyBorder="1" applyAlignment="1">
      <alignment horizontal="left"/>
    </xf>
    <xf numFmtId="0" fontId="20" fillId="12" borderId="13" xfId="0" applyFont="1" applyFill="1" applyBorder="1" applyAlignment="1">
      <alignment horizontal="left"/>
    </xf>
    <xf numFmtId="0" fontId="20" fillId="12" borderId="12" xfId="0" applyFont="1" applyFill="1" applyBorder="1" applyAlignment="1">
      <alignment horizontal="left"/>
    </xf>
    <xf numFmtId="0" fontId="22" fillId="12" borderId="0" xfId="0" applyFont="1" applyFill="1" applyAlignment="1">
      <alignment horizontal="center"/>
    </xf>
    <xf numFmtId="0" fontId="25" fillId="33" borderId="11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/>
    </xf>
    <xf numFmtId="0" fontId="47" fillId="35" borderId="12" xfId="0" applyFont="1" applyFill="1" applyBorder="1" applyAlignment="1">
      <alignment horizontal="center"/>
    </xf>
    <xf numFmtId="188" fontId="21" fillId="6" borderId="10" xfId="60" applyNumberFormat="1" applyFont="1" applyFill="1" applyBorder="1" applyAlignment="1">
      <alignment horizontal="center"/>
    </xf>
    <xf numFmtId="10" fontId="21" fillId="6" borderId="11" xfId="49" applyNumberFormat="1" applyFont="1" applyFill="1" applyBorder="1" applyAlignment="1">
      <alignment horizontal="right"/>
    </xf>
    <xf numFmtId="10" fontId="21" fillId="6" borderId="12" xfId="49" applyNumberFormat="1" applyFont="1" applyFill="1" applyBorder="1" applyAlignment="1">
      <alignment horizontal="right"/>
    </xf>
    <xf numFmtId="177" fontId="21" fillId="6" borderId="10" xfId="45" applyFont="1" applyFill="1" applyBorder="1" applyAlignment="1">
      <alignment horizontal="center"/>
    </xf>
    <xf numFmtId="44" fontId="23" fillId="4" borderId="10" xfId="0" applyNumberFormat="1" applyFont="1" applyFill="1" applyBorder="1" applyAlignment="1">
      <alignment horizontal="center"/>
    </xf>
    <xf numFmtId="188" fontId="23" fillId="4" borderId="10" xfId="6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ill>
        <patternFill>
          <bgColor theme="9" tint="0.3999499976634979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83"/>
  <sheetViews>
    <sheetView showGridLines="0" tabSelected="1" zoomScalePageLayoutView="0" workbookViewId="0" topLeftCell="A1">
      <selection activeCell="G10" sqref="G10"/>
    </sheetView>
  </sheetViews>
  <sheetFormatPr defaultColWidth="11.421875" defaultRowHeight="12.75" outlineLevelRow="2"/>
  <cols>
    <col min="1" max="1" width="2.28125" style="2" customWidth="1"/>
    <col min="2" max="2" width="34.28125" style="2" bestFit="1" customWidth="1"/>
    <col min="3" max="3" width="38.57421875" style="2" customWidth="1"/>
    <col min="4" max="4" width="8.140625" style="2" bestFit="1" customWidth="1"/>
    <col min="5" max="5" width="15.7109375" style="2" bestFit="1" customWidth="1"/>
    <col min="6" max="6" width="18.28125" style="2" bestFit="1" customWidth="1"/>
    <col min="7" max="7" width="9.57421875" style="2" bestFit="1" customWidth="1"/>
    <col min="8" max="8" width="4.140625" style="2" hidden="1" customWidth="1"/>
    <col min="9" max="9" width="18.28125" style="2" bestFit="1" customWidth="1"/>
    <col min="10" max="10" width="9.57421875" style="2" bestFit="1" customWidth="1"/>
    <col min="11" max="11" width="3.28125" style="2" customWidth="1"/>
    <col min="12" max="12" width="21.421875" style="2" customWidth="1"/>
    <col min="13" max="16384" width="11.421875" style="2" customWidth="1"/>
  </cols>
  <sheetData>
    <row r="1" spans="2:10" ht="21">
      <c r="B1" s="56" t="s">
        <v>5</v>
      </c>
      <c r="C1" s="56"/>
      <c r="D1" s="56"/>
      <c r="E1" s="56"/>
      <c r="F1" s="56"/>
      <c r="G1" s="56"/>
      <c r="H1" s="56"/>
      <c r="I1" s="56"/>
      <c r="J1" s="56"/>
    </row>
    <row r="2" spans="2:12" ht="21">
      <c r="B2" s="1"/>
      <c r="C2" s="3"/>
      <c r="D2" s="3"/>
      <c r="E2" s="3"/>
      <c r="F2" s="3"/>
      <c r="G2" s="3"/>
      <c r="H2"/>
      <c r="I2"/>
      <c r="J2"/>
      <c r="K2"/>
      <c r="L2"/>
    </row>
    <row r="3" spans="3:12" ht="17.25" customHeight="1">
      <c r="C3" s="43" t="s">
        <v>68</v>
      </c>
      <c r="D3" s="64">
        <v>100</v>
      </c>
      <c r="E3" s="64"/>
      <c r="F3" s="3"/>
      <c r="G3" s="3"/>
      <c r="H3" s="20"/>
      <c r="I3"/>
      <c r="J3"/>
      <c r="K3"/>
      <c r="L3"/>
    </row>
    <row r="4" spans="3:12" ht="17.25" customHeight="1">
      <c r="C4" s="43" t="s">
        <v>69</v>
      </c>
      <c r="D4" s="64">
        <v>10</v>
      </c>
      <c r="E4" s="64"/>
      <c r="F4" s="3"/>
      <c r="G4" s="3"/>
      <c r="H4"/>
      <c r="I4"/>
      <c r="J4"/>
      <c r="K4"/>
      <c r="L4"/>
    </row>
    <row r="5" spans="3:12" ht="17.25" customHeight="1">
      <c r="C5" s="43" t="s">
        <v>70</v>
      </c>
      <c r="D5" s="65">
        <f>D4/D3</f>
        <v>0.1</v>
      </c>
      <c r="E5" s="66"/>
      <c r="F5" s="3"/>
      <c r="G5" s="3"/>
      <c r="H5"/>
      <c r="I5"/>
      <c r="J5"/>
      <c r="K5"/>
      <c r="L5"/>
    </row>
    <row r="6" spans="3:12" ht="17.25" customHeight="1">
      <c r="C6" s="43" t="s">
        <v>75</v>
      </c>
      <c r="D6" s="67">
        <v>0</v>
      </c>
      <c r="E6" s="67"/>
      <c r="F6" s="3"/>
      <c r="G6" s="3"/>
      <c r="H6"/>
      <c r="I6"/>
      <c r="J6"/>
      <c r="K6"/>
      <c r="L6"/>
    </row>
    <row r="7" spans="6:12" ht="17.25" customHeight="1">
      <c r="F7" s="3"/>
      <c r="G7" s="3"/>
      <c r="H7"/>
      <c r="I7"/>
      <c r="J7"/>
      <c r="K7"/>
      <c r="L7"/>
    </row>
    <row r="8" spans="3:12" ht="17.25" customHeight="1">
      <c r="C8" s="44" t="s">
        <v>72</v>
      </c>
      <c r="D8" s="68">
        <f>I83-Lucros_A_Distribuir</f>
        <v>15138.888888888876</v>
      </c>
      <c r="E8" s="68"/>
      <c r="F8" s="3"/>
      <c r="G8" s="3"/>
      <c r="H8"/>
      <c r="I8"/>
      <c r="J8"/>
      <c r="K8"/>
      <c r="L8"/>
    </row>
    <row r="9" spans="3:12" ht="17.25" customHeight="1">
      <c r="C9" s="44" t="s">
        <v>73</v>
      </c>
      <c r="D9" s="69">
        <v>60</v>
      </c>
      <c r="E9" s="69"/>
      <c r="F9" s="3"/>
      <c r="G9" s="3"/>
      <c r="H9"/>
      <c r="I9"/>
      <c r="J9"/>
      <c r="K9"/>
      <c r="L9"/>
    </row>
    <row r="10" spans="3:12" ht="17.25" customHeight="1">
      <c r="C10" s="44" t="s">
        <v>74</v>
      </c>
      <c r="D10" s="68">
        <f>D9*D8</f>
        <v>908333.3333333326</v>
      </c>
      <c r="E10" s="68"/>
      <c r="F10" s="3"/>
      <c r="G10" s="3"/>
      <c r="H10"/>
      <c r="I10"/>
      <c r="J10"/>
      <c r="K10"/>
      <c r="L10"/>
    </row>
    <row r="11" spans="6:12" ht="17.25" customHeight="1">
      <c r="F11" s="3"/>
      <c r="G11" s="3"/>
      <c r="H11"/>
      <c r="I11"/>
      <c r="J11"/>
      <c r="K11"/>
      <c r="L11"/>
    </row>
    <row r="12" spans="2:10" ht="23.25">
      <c r="B12" s="1"/>
      <c r="C12" s="3"/>
      <c r="D12" s="3"/>
      <c r="E12" s="3"/>
      <c r="F12" s="60" t="s">
        <v>48</v>
      </c>
      <c r="G12" s="61"/>
      <c r="I12" s="62" t="s">
        <v>71</v>
      </c>
      <c r="J12" s="63"/>
    </row>
    <row r="13" spans="2:10" ht="12.75">
      <c r="B13"/>
      <c r="C13"/>
      <c r="D13"/>
      <c r="E13"/>
      <c r="F13" s="27" t="s">
        <v>0</v>
      </c>
      <c r="G13" s="28" t="s">
        <v>9</v>
      </c>
      <c r="H13" s="2" t="s">
        <v>7</v>
      </c>
      <c r="I13" s="30" t="s">
        <v>0</v>
      </c>
      <c r="J13" s="31" t="s">
        <v>9</v>
      </c>
    </row>
    <row r="14" spans="2:10" ht="17.25">
      <c r="B14" s="57" t="s">
        <v>1</v>
      </c>
      <c r="C14" s="58"/>
      <c r="D14" s="58"/>
      <c r="E14" s="59"/>
      <c r="F14" s="25">
        <v>2000000</v>
      </c>
      <c r="G14" s="26">
        <f aca="true" t="shared" si="0" ref="G14:G27">F14/Fat_Bruto</f>
        <v>1</v>
      </c>
      <c r="H14" s="4" t="s">
        <v>8</v>
      </c>
      <c r="I14" s="32">
        <f>Fat_Bruto</f>
        <v>2000000</v>
      </c>
      <c r="J14" s="33">
        <f aca="true" t="shared" si="1" ref="J14:J27">I14/Fat_Bruto</f>
        <v>1</v>
      </c>
    </row>
    <row r="15" spans="2:10" ht="17.25">
      <c r="B15" s="57" t="s">
        <v>4</v>
      </c>
      <c r="C15" s="58"/>
      <c r="D15" s="58"/>
      <c r="E15" s="59"/>
      <c r="F15" s="25">
        <f>Fat_Bruto-Red_Base_Calc</f>
        <v>2000000</v>
      </c>
      <c r="G15" s="26">
        <f t="shared" si="0"/>
        <v>1</v>
      </c>
      <c r="H15" s="4"/>
      <c r="I15" s="32">
        <f>F15</f>
        <v>2000000</v>
      </c>
      <c r="J15" s="33">
        <f t="shared" si="1"/>
        <v>1</v>
      </c>
    </row>
    <row r="16" spans="2:10" ht="15.75">
      <c r="B16" s="53" t="s">
        <v>10</v>
      </c>
      <c r="C16" s="54"/>
      <c r="D16" s="54"/>
      <c r="E16" s="55"/>
      <c r="F16" s="13">
        <f>TT_Impostos+TT_Outros_Abatimentos</f>
        <v>469000</v>
      </c>
      <c r="G16" s="14">
        <f t="shared" si="0"/>
        <v>0.2345</v>
      </c>
      <c r="H16" s="4"/>
      <c r="I16" s="36">
        <f>I17+I24</f>
        <v>469000</v>
      </c>
      <c r="J16" s="37">
        <f t="shared" si="1"/>
        <v>0.2345</v>
      </c>
    </row>
    <row r="17" spans="2:10" ht="15" outlineLevel="1">
      <c r="B17" s="17" t="s">
        <v>51</v>
      </c>
      <c r="C17" s="18"/>
      <c r="D17" s="45" t="s">
        <v>27</v>
      </c>
      <c r="E17" s="22" t="s">
        <v>39</v>
      </c>
      <c r="F17" s="9">
        <f>SUM(F18:F23)</f>
        <v>289000</v>
      </c>
      <c r="G17" s="10">
        <f t="shared" si="0"/>
        <v>0.1445</v>
      </c>
      <c r="H17" s="4"/>
      <c r="I17" s="38">
        <f>SUM(I18:I23)</f>
        <v>289000</v>
      </c>
      <c r="J17" s="39">
        <f t="shared" si="1"/>
        <v>0.1445</v>
      </c>
    </row>
    <row r="18" spans="2:10" ht="12.75" outlineLevel="2">
      <c r="B18" s="11" t="s">
        <v>2</v>
      </c>
      <c r="C18" s="12" t="s">
        <v>26</v>
      </c>
      <c r="D18" s="46">
        <v>0.0065</v>
      </c>
      <c r="E18" s="23" t="s">
        <v>7</v>
      </c>
      <c r="F18" s="6">
        <f>Base_Calc*APIS*PIS_SN</f>
        <v>13000</v>
      </c>
      <c r="G18" s="7">
        <f t="shared" si="0"/>
        <v>0.0065</v>
      </c>
      <c r="H18" s="4">
        <f aca="true" t="shared" si="2" ref="H18:H23">IF(E18="Sim",1,0)</f>
        <v>1</v>
      </c>
      <c r="I18" s="40">
        <f aca="true" t="shared" si="3" ref="I18:I23">F18</f>
        <v>13000</v>
      </c>
      <c r="J18" s="41">
        <f t="shared" si="1"/>
        <v>0.0065</v>
      </c>
    </row>
    <row r="19" spans="2:10" ht="12.75" outlineLevel="2">
      <c r="B19" s="11" t="s">
        <v>3</v>
      </c>
      <c r="C19" s="12" t="s">
        <v>23</v>
      </c>
      <c r="D19" s="46">
        <v>0.03</v>
      </c>
      <c r="E19" s="23" t="s">
        <v>7</v>
      </c>
      <c r="F19" s="6">
        <f>Base_Calc*ACOFINS*COFINS_SN</f>
        <v>60000</v>
      </c>
      <c r="G19" s="7">
        <f t="shared" si="0"/>
        <v>0.03</v>
      </c>
      <c r="H19" s="4">
        <f t="shared" si="2"/>
        <v>1</v>
      </c>
      <c r="I19" s="40">
        <f t="shared" si="3"/>
        <v>60000</v>
      </c>
      <c r="J19" s="41">
        <f t="shared" si="1"/>
        <v>0.03</v>
      </c>
    </row>
    <row r="20" spans="2:10" ht="12.75" outlineLevel="2">
      <c r="B20" s="11" t="s">
        <v>56</v>
      </c>
      <c r="C20" s="12" t="s">
        <v>24</v>
      </c>
      <c r="D20" s="46">
        <v>0.01</v>
      </c>
      <c r="E20" s="23" t="s">
        <v>7</v>
      </c>
      <c r="F20" s="6">
        <f>Base_Calc*ACSL*CSL_SN</f>
        <v>20000</v>
      </c>
      <c r="G20" s="7">
        <f t="shared" si="0"/>
        <v>0.01</v>
      </c>
      <c r="H20" s="4">
        <f t="shared" si="2"/>
        <v>1</v>
      </c>
      <c r="I20" s="40">
        <f t="shared" si="3"/>
        <v>20000</v>
      </c>
      <c r="J20" s="41">
        <f t="shared" si="1"/>
        <v>0.01</v>
      </c>
    </row>
    <row r="21" spans="2:11" ht="12.75" outlineLevel="2">
      <c r="B21" s="11" t="s">
        <v>57</v>
      </c>
      <c r="C21" s="12" t="s">
        <v>24</v>
      </c>
      <c r="D21" s="46">
        <v>0.048</v>
      </c>
      <c r="E21" s="23" t="s">
        <v>7</v>
      </c>
      <c r="F21" s="6">
        <f>Base_Calc*AIRPJ*IRPJ_SN</f>
        <v>96000</v>
      </c>
      <c r="G21" s="7">
        <f t="shared" si="0"/>
        <v>0.048</v>
      </c>
      <c r="H21" s="4">
        <f t="shared" si="2"/>
        <v>1</v>
      </c>
      <c r="I21" s="40">
        <f t="shared" si="3"/>
        <v>96000</v>
      </c>
      <c r="J21" s="41">
        <f t="shared" si="1"/>
        <v>0.048</v>
      </c>
      <c r="K21" s="8"/>
    </row>
    <row r="22" spans="2:10" ht="12.75" outlineLevel="2">
      <c r="B22" s="11" t="s">
        <v>58</v>
      </c>
      <c r="C22" s="12" t="s">
        <v>25</v>
      </c>
      <c r="D22" s="46">
        <v>0</v>
      </c>
      <c r="E22" s="23" t="s">
        <v>7</v>
      </c>
      <c r="F22" s="6">
        <f>Base_Calc*AIPI_ICMS*IPI_ICMS_SN</f>
        <v>0</v>
      </c>
      <c r="G22" s="7">
        <f t="shared" si="0"/>
        <v>0</v>
      </c>
      <c r="H22" s="4">
        <f t="shared" si="2"/>
        <v>1</v>
      </c>
      <c r="I22" s="40">
        <f t="shared" si="3"/>
        <v>0</v>
      </c>
      <c r="J22" s="41">
        <f t="shared" si="1"/>
        <v>0</v>
      </c>
    </row>
    <row r="23" spans="2:10" ht="12.75" outlineLevel="2">
      <c r="B23" s="11" t="s">
        <v>59</v>
      </c>
      <c r="C23" s="12"/>
      <c r="D23" s="46">
        <v>0.05</v>
      </c>
      <c r="E23" s="23" t="s">
        <v>7</v>
      </c>
      <c r="F23" s="6">
        <f>Base_Calc*AISS*ISS_SN</f>
        <v>100000</v>
      </c>
      <c r="G23" s="7">
        <f t="shared" si="0"/>
        <v>0.05</v>
      </c>
      <c r="H23" s="4">
        <f t="shared" si="2"/>
        <v>1</v>
      </c>
      <c r="I23" s="40">
        <f t="shared" si="3"/>
        <v>100000</v>
      </c>
      <c r="J23" s="41">
        <f t="shared" si="1"/>
        <v>0.05</v>
      </c>
    </row>
    <row r="24" spans="2:10" ht="15" outlineLevel="1">
      <c r="B24" s="17" t="s">
        <v>52</v>
      </c>
      <c r="C24" s="18"/>
      <c r="D24" s="19"/>
      <c r="E24" s="19"/>
      <c r="F24" s="9">
        <f>SUM(F25:F27)</f>
        <v>180000</v>
      </c>
      <c r="G24" s="10">
        <f t="shared" si="0"/>
        <v>0.09</v>
      </c>
      <c r="I24" s="38">
        <f>SUM(I25:I27)</f>
        <v>180000</v>
      </c>
      <c r="J24" s="39">
        <f t="shared" si="1"/>
        <v>0.09</v>
      </c>
    </row>
    <row r="25" spans="2:10" ht="12.75" outlineLevel="2">
      <c r="B25" s="47" t="s">
        <v>60</v>
      </c>
      <c r="C25" s="48"/>
      <c r="D25" s="48"/>
      <c r="E25" s="49"/>
      <c r="F25" s="6">
        <f>Fat_Bruto*0.03</f>
        <v>60000</v>
      </c>
      <c r="G25" s="7">
        <f t="shared" si="0"/>
        <v>0.03</v>
      </c>
      <c r="I25" s="40">
        <f>F25</f>
        <v>60000</v>
      </c>
      <c r="J25" s="41">
        <f t="shared" si="1"/>
        <v>0.03</v>
      </c>
    </row>
    <row r="26" spans="2:10" ht="12.75" outlineLevel="2">
      <c r="B26" s="47" t="s">
        <v>61</v>
      </c>
      <c r="C26" s="48"/>
      <c r="D26" s="48"/>
      <c r="E26" s="49"/>
      <c r="F26" s="6">
        <f>Fat_Bruto*0.05</f>
        <v>100000</v>
      </c>
      <c r="G26" s="7">
        <f t="shared" si="0"/>
        <v>0.05</v>
      </c>
      <c r="I26" s="40">
        <f>F26</f>
        <v>100000</v>
      </c>
      <c r="J26" s="41">
        <f t="shared" si="1"/>
        <v>0.05</v>
      </c>
    </row>
    <row r="27" spans="2:10" ht="12.75" outlineLevel="2">
      <c r="B27" s="47" t="s">
        <v>62</v>
      </c>
      <c r="C27" s="48"/>
      <c r="D27" s="48"/>
      <c r="E27" s="49"/>
      <c r="F27" s="6">
        <f>Fat_Bruto*0.01</f>
        <v>20000</v>
      </c>
      <c r="G27" s="7">
        <f t="shared" si="0"/>
        <v>0.01</v>
      </c>
      <c r="I27" s="40">
        <f>F27</f>
        <v>20000</v>
      </c>
      <c r="J27" s="41">
        <f t="shared" si="1"/>
        <v>0.01</v>
      </c>
    </row>
    <row r="28" ht="12.75"/>
    <row r="29" spans="2:10" ht="15.75">
      <c r="B29" s="50" t="s">
        <v>11</v>
      </c>
      <c r="C29" s="51"/>
      <c r="D29" s="51"/>
      <c r="E29" s="52"/>
      <c r="F29" s="13">
        <f>Fat_Bruto-TT_Abatimentos_Receita</f>
        <v>1531000</v>
      </c>
      <c r="G29" s="14">
        <f>F29/Fat_Bruto</f>
        <v>0.7655</v>
      </c>
      <c r="I29" s="36">
        <f>I15-I16</f>
        <v>1531000</v>
      </c>
      <c r="J29" s="37">
        <f>I29/Fat_Bruto</f>
        <v>0.7655</v>
      </c>
    </row>
    <row r="30" spans="2:10" ht="15">
      <c r="B30" s="53" t="s">
        <v>50</v>
      </c>
      <c r="C30" s="54"/>
      <c r="D30" s="54"/>
      <c r="E30" s="55"/>
      <c r="F30" s="9">
        <f>SUM(F31:F33)</f>
        <v>500000</v>
      </c>
      <c r="G30" s="10">
        <f>F30/Fat_Bruto</f>
        <v>0.25</v>
      </c>
      <c r="I30" s="38">
        <f>SUM(I31:I33)</f>
        <v>500000</v>
      </c>
      <c r="J30" s="39">
        <f>I30/Fat_Bruto</f>
        <v>0.25</v>
      </c>
    </row>
    <row r="31" spans="2:10" ht="12.75" outlineLevel="1">
      <c r="B31" s="47" t="s">
        <v>12</v>
      </c>
      <c r="C31" s="48"/>
      <c r="D31" s="48"/>
      <c r="E31" s="49"/>
      <c r="F31" s="6">
        <v>100000</v>
      </c>
      <c r="G31" s="7">
        <f>F31/Fat_Bruto</f>
        <v>0.05</v>
      </c>
      <c r="I31" s="40">
        <f>F31</f>
        <v>100000</v>
      </c>
      <c r="J31" s="41">
        <f>I31/Fat_Bruto</f>
        <v>0.05</v>
      </c>
    </row>
    <row r="32" spans="2:10" ht="12.75" outlineLevel="1">
      <c r="B32" s="47" t="s">
        <v>13</v>
      </c>
      <c r="C32" s="48"/>
      <c r="D32" s="48"/>
      <c r="E32" s="49"/>
      <c r="F32" s="6">
        <v>400000</v>
      </c>
      <c r="G32" s="7">
        <f>F32/Fat_Bruto</f>
        <v>0.2</v>
      </c>
      <c r="I32" s="40">
        <f>F32</f>
        <v>400000</v>
      </c>
      <c r="J32" s="41">
        <f>I32/Fat_Bruto</f>
        <v>0.2</v>
      </c>
    </row>
    <row r="33" spans="2:10" ht="12.75" outlineLevel="1">
      <c r="B33" s="47" t="s">
        <v>14</v>
      </c>
      <c r="C33" s="48"/>
      <c r="D33" s="48"/>
      <c r="E33" s="49"/>
      <c r="F33" s="6"/>
      <c r="G33" s="7">
        <f>F33/Fat_Bruto</f>
        <v>0</v>
      </c>
      <c r="I33" s="40">
        <f>F33</f>
        <v>0</v>
      </c>
      <c r="J33" s="41">
        <f>I33/Fat_Bruto</f>
        <v>0</v>
      </c>
    </row>
    <row r="34" ht="12.75"/>
    <row r="35" spans="2:10" ht="15.75">
      <c r="B35" s="50" t="s">
        <v>15</v>
      </c>
      <c r="C35" s="51"/>
      <c r="D35" s="51"/>
      <c r="E35" s="52"/>
      <c r="F35" s="13">
        <f>Rec_Liq-CMV</f>
        <v>1031000</v>
      </c>
      <c r="G35" s="14">
        <f aca="true" t="shared" si="4" ref="G35:G68">F35/Fat_Bruto</f>
        <v>0.5155</v>
      </c>
      <c r="I35" s="36">
        <f>I29-I30</f>
        <v>1031000</v>
      </c>
      <c r="J35" s="37">
        <f aca="true" t="shared" si="5" ref="J35:J68">I35/Fat_Bruto</f>
        <v>0.5155</v>
      </c>
    </row>
    <row r="36" spans="2:10" ht="15">
      <c r="B36" s="53" t="s">
        <v>53</v>
      </c>
      <c r="C36" s="54"/>
      <c r="D36" s="54"/>
      <c r="E36" s="55"/>
      <c r="F36" s="9">
        <f>Custos_Fixos+RH+INSS</f>
        <v>600833.3333333333</v>
      </c>
      <c r="G36" s="10">
        <f t="shared" si="4"/>
        <v>0.3004166666666666</v>
      </c>
      <c r="I36" s="38">
        <f>I37+I38+I54</f>
        <v>585694.4444444444</v>
      </c>
      <c r="J36" s="39">
        <f t="shared" si="5"/>
        <v>0.2928472222222222</v>
      </c>
    </row>
    <row r="37" spans="2:10" ht="15" outlineLevel="1">
      <c r="B37" s="53" t="s">
        <v>16</v>
      </c>
      <c r="C37" s="54"/>
      <c r="D37" s="54"/>
      <c r="E37" s="55"/>
      <c r="F37" s="9">
        <v>150000</v>
      </c>
      <c r="G37" s="10">
        <f t="shared" si="4"/>
        <v>0.075</v>
      </c>
      <c r="I37" s="40">
        <f>F37</f>
        <v>150000</v>
      </c>
      <c r="J37" s="41">
        <f t="shared" si="5"/>
        <v>0.075</v>
      </c>
    </row>
    <row r="38" spans="2:10" ht="15" outlineLevel="1">
      <c r="B38" s="53" t="s">
        <v>76</v>
      </c>
      <c r="C38" s="54"/>
      <c r="D38" s="54"/>
      <c r="E38" s="55"/>
      <c r="F38" s="9">
        <f>SUM(F39:F53)</f>
        <v>385694.4444444444</v>
      </c>
      <c r="G38" s="10">
        <f t="shared" si="4"/>
        <v>0.1928472222222222</v>
      </c>
      <c r="I38" s="38">
        <f>SUM(I39:I53)</f>
        <v>385694.4444444444</v>
      </c>
      <c r="J38" s="39">
        <f t="shared" si="5"/>
        <v>0.1928472222222222</v>
      </c>
    </row>
    <row r="39" spans="2:10" ht="12.75" outlineLevel="2">
      <c r="B39" s="47" t="s">
        <v>17</v>
      </c>
      <c r="C39" s="48"/>
      <c r="D39" s="48"/>
      <c r="E39" s="49"/>
      <c r="F39" s="6">
        <v>250000</v>
      </c>
      <c r="G39" s="7">
        <f t="shared" si="4"/>
        <v>0.125</v>
      </c>
      <c r="I39" s="40">
        <f aca="true" t="shared" si="6" ref="I39:I53">F39</f>
        <v>250000</v>
      </c>
      <c r="J39" s="41">
        <f t="shared" si="5"/>
        <v>0.125</v>
      </c>
    </row>
    <row r="40" spans="2:10" ht="12.75" outlineLevel="2">
      <c r="B40" s="47" t="s">
        <v>18</v>
      </c>
      <c r="C40" s="48"/>
      <c r="D40" s="48"/>
      <c r="E40" s="49"/>
      <c r="F40" s="6">
        <f>Salários*0.08</f>
        <v>20000</v>
      </c>
      <c r="G40" s="7">
        <f t="shared" si="4"/>
        <v>0.01</v>
      </c>
      <c r="I40" s="40">
        <f t="shared" si="6"/>
        <v>20000</v>
      </c>
      <c r="J40" s="41">
        <f t="shared" si="5"/>
        <v>0.01</v>
      </c>
    </row>
    <row r="41" spans="2:10" ht="12.75" outlineLevel="2">
      <c r="B41" s="47" t="s">
        <v>63</v>
      </c>
      <c r="C41" s="48"/>
      <c r="D41" s="48"/>
      <c r="E41" s="49"/>
      <c r="F41" s="6">
        <f>Salários/12</f>
        <v>20833.333333333332</v>
      </c>
      <c r="G41" s="7">
        <f t="shared" si="4"/>
        <v>0.010416666666666666</v>
      </c>
      <c r="I41" s="40">
        <f t="shared" si="6"/>
        <v>20833.333333333332</v>
      </c>
      <c r="J41" s="41">
        <f t="shared" si="5"/>
        <v>0.010416666666666666</v>
      </c>
    </row>
    <row r="42" spans="2:10" ht="12.75" outlineLevel="2">
      <c r="B42" s="47" t="s">
        <v>64</v>
      </c>
      <c r="C42" s="48"/>
      <c r="D42" s="48"/>
      <c r="E42" s="49"/>
      <c r="F42" s="6">
        <f>Salários/12</f>
        <v>20833.333333333332</v>
      </c>
      <c r="G42" s="7">
        <f t="shared" si="4"/>
        <v>0.010416666666666666</v>
      </c>
      <c r="I42" s="40">
        <f t="shared" si="6"/>
        <v>20833.333333333332</v>
      </c>
      <c r="J42" s="41">
        <f t="shared" si="5"/>
        <v>0.010416666666666666</v>
      </c>
    </row>
    <row r="43" spans="2:10" ht="12.75" outlineLevel="2">
      <c r="B43" s="47" t="s">
        <v>65</v>
      </c>
      <c r="C43" s="48"/>
      <c r="D43" s="48"/>
      <c r="E43" s="49"/>
      <c r="F43" s="6">
        <f>Décimo_Terceiro/3</f>
        <v>6944.444444444444</v>
      </c>
      <c r="G43" s="7">
        <f t="shared" si="4"/>
        <v>0.003472222222222222</v>
      </c>
      <c r="I43" s="40">
        <f t="shared" si="6"/>
        <v>6944.444444444444</v>
      </c>
      <c r="J43" s="41">
        <f t="shared" si="5"/>
        <v>0.003472222222222222</v>
      </c>
    </row>
    <row r="44" spans="2:10" ht="12.75" outlineLevel="2">
      <c r="B44" s="47" t="s">
        <v>66</v>
      </c>
      <c r="C44" s="48"/>
      <c r="D44" s="48"/>
      <c r="E44" s="49"/>
      <c r="F44" s="6">
        <f>Taxa_Desligamento*Salários</f>
        <v>25000</v>
      </c>
      <c r="G44" s="7">
        <f t="shared" si="4"/>
        <v>0.0125</v>
      </c>
      <c r="I44" s="40">
        <f t="shared" si="6"/>
        <v>25000</v>
      </c>
      <c r="J44" s="41">
        <f t="shared" si="5"/>
        <v>0.0125</v>
      </c>
    </row>
    <row r="45" spans="2:10" ht="12.75" outlineLevel="2">
      <c r="B45" s="47" t="s">
        <v>67</v>
      </c>
      <c r="C45" s="48"/>
      <c r="D45" s="48"/>
      <c r="E45" s="49"/>
      <c r="F45" s="6">
        <f>Taxa_Desligamento*Férias</f>
        <v>2083.3333333333335</v>
      </c>
      <c r="G45" s="7">
        <f t="shared" si="4"/>
        <v>0.0010416666666666667</v>
      </c>
      <c r="I45" s="40">
        <f t="shared" si="6"/>
        <v>2083.3333333333335</v>
      </c>
      <c r="J45" s="41">
        <f t="shared" si="5"/>
        <v>0.0010416666666666667</v>
      </c>
    </row>
    <row r="46" spans="2:10" ht="12.75" outlineLevel="2">
      <c r="B46" s="47" t="s">
        <v>22</v>
      </c>
      <c r="C46" s="48"/>
      <c r="D46" s="48"/>
      <c r="E46" s="49"/>
      <c r="F46" s="6">
        <f>20*20*N_Funcionários</f>
        <v>40000</v>
      </c>
      <c r="G46" s="7">
        <f t="shared" si="4"/>
        <v>0.02</v>
      </c>
      <c r="I46" s="40">
        <f t="shared" si="6"/>
        <v>40000</v>
      </c>
      <c r="J46" s="41">
        <f t="shared" si="5"/>
        <v>0.02</v>
      </c>
    </row>
    <row r="47" spans="2:10" ht="12.75" outlineLevel="2">
      <c r="B47" s="47" t="s">
        <v>28</v>
      </c>
      <c r="C47" s="48"/>
      <c r="D47" s="48"/>
      <c r="E47" s="49"/>
      <c r="F47" s="6"/>
      <c r="G47" s="7">
        <f t="shared" si="4"/>
        <v>0</v>
      </c>
      <c r="I47" s="40">
        <f t="shared" si="6"/>
        <v>0</v>
      </c>
      <c r="J47" s="41">
        <f t="shared" si="5"/>
        <v>0</v>
      </c>
    </row>
    <row r="48" spans="2:10" ht="12.75" outlineLevel="2">
      <c r="B48" s="47" t="s">
        <v>29</v>
      </c>
      <c r="C48" s="48"/>
      <c r="D48" s="48"/>
      <c r="E48" s="49"/>
      <c r="F48" s="6"/>
      <c r="G48" s="7">
        <f t="shared" si="4"/>
        <v>0</v>
      </c>
      <c r="I48" s="40">
        <f t="shared" si="6"/>
        <v>0</v>
      </c>
      <c r="J48" s="41">
        <f t="shared" si="5"/>
        <v>0</v>
      </c>
    </row>
    <row r="49" spans="2:10" ht="12.75" outlineLevel="2">
      <c r="B49" s="47" t="s">
        <v>30</v>
      </c>
      <c r="C49" s="48"/>
      <c r="D49" s="48"/>
      <c r="E49" s="49"/>
      <c r="F49" s="6"/>
      <c r="G49" s="7">
        <f t="shared" si="4"/>
        <v>0</v>
      </c>
      <c r="I49" s="40">
        <f t="shared" si="6"/>
        <v>0</v>
      </c>
      <c r="J49" s="41">
        <f t="shared" si="5"/>
        <v>0</v>
      </c>
    </row>
    <row r="50" spans="2:10" ht="12.75" outlineLevel="2">
      <c r="B50" s="47" t="s">
        <v>31</v>
      </c>
      <c r="C50" s="48"/>
      <c r="D50" s="48"/>
      <c r="E50" s="49"/>
      <c r="F50" s="6"/>
      <c r="G50" s="7">
        <f t="shared" si="4"/>
        <v>0</v>
      </c>
      <c r="I50" s="40">
        <f t="shared" si="6"/>
        <v>0</v>
      </c>
      <c r="J50" s="41">
        <f t="shared" si="5"/>
        <v>0</v>
      </c>
    </row>
    <row r="51" spans="2:10" ht="12.75" outlineLevel="2">
      <c r="B51" s="47" t="s">
        <v>33</v>
      </c>
      <c r="C51" s="48"/>
      <c r="D51" s="48"/>
      <c r="E51" s="49"/>
      <c r="F51" s="6"/>
      <c r="G51" s="7">
        <f t="shared" si="4"/>
        <v>0</v>
      </c>
      <c r="I51" s="40">
        <f t="shared" si="6"/>
        <v>0</v>
      </c>
      <c r="J51" s="41">
        <f t="shared" si="5"/>
        <v>0</v>
      </c>
    </row>
    <row r="52" spans="2:10" ht="12.75" outlineLevel="2">
      <c r="B52" s="47" t="s">
        <v>34</v>
      </c>
      <c r="C52" s="48"/>
      <c r="D52" s="48"/>
      <c r="E52" s="49"/>
      <c r="F52" s="6"/>
      <c r="G52" s="7">
        <f t="shared" si="4"/>
        <v>0</v>
      </c>
      <c r="I52" s="40">
        <f t="shared" si="6"/>
        <v>0</v>
      </c>
      <c r="J52" s="41">
        <f t="shared" si="5"/>
        <v>0</v>
      </c>
    </row>
    <row r="53" spans="2:10" ht="12.75" outlineLevel="2">
      <c r="B53" s="47" t="s">
        <v>36</v>
      </c>
      <c r="C53" s="48"/>
      <c r="D53" s="48"/>
      <c r="E53" s="49"/>
      <c r="F53" s="6"/>
      <c r="G53" s="7">
        <f t="shared" si="4"/>
        <v>0</v>
      </c>
      <c r="I53" s="40">
        <f t="shared" si="6"/>
        <v>0</v>
      </c>
      <c r="J53" s="41">
        <f t="shared" si="5"/>
        <v>0</v>
      </c>
    </row>
    <row r="54" spans="2:10" ht="15" outlineLevel="1">
      <c r="B54" s="54" t="s">
        <v>37</v>
      </c>
      <c r="C54" s="55"/>
      <c r="D54" s="22" t="s">
        <v>27</v>
      </c>
      <c r="E54" s="22" t="s">
        <v>38</v>
      </c>
      <c r="F54" s="29">
        <f>SUM(F55:F68)</f>
        <v>65138.88888888888</v>
      </c>
      <c r="G54" s="10">
        <f t="shared" si="4"/>
        <v>0.03256944444444444</v>
      </c>
      <c r="I54" s="42">
        <f>SUM(I55:I68)</f>
        <v>50000</v>
      </c>
      <c r="J54" s="39">
        <f t="shared" si="5"/>
        <v>0.025</v>
      </c>
    </row>
    <row r="55" spans="2:10" ht="12.75" outlineLevel="2">
      <c r="B55" s="11" t="s">
        <v>17</v>
      </c>
      <c r="C55" s="12"/>
      <c r="D55" s="46">
        <v>0.2</v>
      </c>
      <c r="E55" s="5"/>
      <c r="F55" s="6">
        <f>D55*Salários</f>
        <v>50000</v>
      </c>
      <c r="G55" s="7">
        <f t="shared" si="4"/>
        <v>0.025</v>
      </c>
      <c r="H55" s="4">
        <f>IF(E55="Sim",1,0)</f>
        <v>0</v>
      </c>
      <c r="I55" s="40">
        <f>F55</f>
        <v>50000</v>
      </c>
      <c r="J55" s="41">
        <f t="shared" si="5"/>
        <v>0.025</v>
      </c>
    </row>
    <row r="56" spans="2:10" ht="12.75" outlineLevel="2">
      <c r="B56" s="11" t="s">
        <v>35</v>
      </c>
      <c r="C56" s="12"/>
      <c r="D56" s="46">
        <v>0.2</v>
      </c>
      <c r="E56" s="24" t="s">
        <v>7</v>
      </c>
      <c r="F56" s="6">
        <f>D56*Décimo_Terceiro</f>
        <v>4166.666666666667</v>
      </c>
      <c r="G56" s="7">
        <f t="shared" si="4"/>
        <v>0.0020833333333333333</v>
      </c>
      <c r="H56" s="4">
        <f>IF(E56="Não",1,0)</f>
        <v>0</v>
      </c>
      <c r="I56" s="40">
        <f>Décimo_Terceiro*H56*D56</f>
        <v>0</v>
      </c>
      <c r="J56" s="41">
        <f t="shared" si="5"/>
        <v>0</v>
      </c>
    </row>
    <row r="57" spans="2:10" ht="12.75" outlineLevel="2">
      <c r="B57" s="11" t="s">
        <v>19</v>
      </c>
      <c r="C57" s="12"/>
      <c r="D57" s="46">
        <v>0.2</v>
      </c>
      <c r="E57" s="24" t="s">
        <v>7</v>
      </c>
      <c r="F57" s="6">
        <f>D57*Férias</f>
        <v>4166.666666666667</v>
      </c>
      <c r="G57" s="7">
        <f t="shared" si="4"/>
        <v>0.0020833333333333333</v>
      </c>
      <c r="H57" s="4">
        <f aca="true" t="shared" si="7" ref="H57:H68">IF(E57="Não",1,0)</f>
        <v>0</v>
      </c>
      <c r="I57" s="40">
        <f>Férias*H57*D57</f>
        <v>0</v>
      </c>
      <c r="J57" s="41">
        <f t="shared" si="5"/>
        <v>0</v>
      </c>
    </row>
    <row r="58" spans="2:10" ht="12.75" outlineLevel="2">
      <c r="B58" s="11" t="s">
        <v>20</v>
      </c>
      <c r="C58" s="12"/>
      <c r="D58" s="46">
        <v>0.2</v>
      </c>
      <c r="E58" s="24" t="s">
        <v>7</v>
      </c>
      <c r="F58" s="6">
        <f>D58*Terço_Férias</f>
        <v>1388.888888888889</v>
      </c>
      <c r="G58" s="7">
        <f t="shared" si="4"/>
        <v>0.0006944444444444445</v>
      </c>
      <c r="H58" s="4">
        <f t="shared" si="7"/>
        <v>0</v>
      </c>
      <c r="I58" s="40">
        <f>Terço_Férias*H58*D58</f>
        <v>0</v>
      </c>
      <c r="J58" s="41">
        <f t="shared" si="5"/>
        <v>0</v>
      </c>
    </row>
    <row r="59" spans="2:10" ht="12.75" outlineLevel="2">
      <c r="B59" s="11" t="s">
        <v>21</v>
      </c>
      <c r="C59" s="12"/>
      <c r="D59" s="46">
        <v>0.2</v>
      </c>
      <c r="E59" s="24" t="s">
        <v>7</v>
      </c>
      <c r="F59" s="6">
        <f>D59*Aviso_Prévio_Indenizado</f>
        <v>5000</v>
      </c>
      <c r="G59" s="7">
        <f t="shared" si="4"/>
        <v>0.0025</v>
      </c>
      <c r="H59" s="4">
        <f t="shared" si="7"/>
        <v>0</v>
      </c>
      <c r="I59" s="40">
        <f>Aviso_Prévio_Indenizado*H59*D59</f>
        <v>0</v>
      </c>
      <c r="J59" s="41">
        <f t="shared" si="5"/>
        <v>0</v>
      </c>
    </row>
    <row r="60" spans="2:10" ht="12.75" outlineLevel="2">
      <c r="B60" s="21" t="s">
        <v>32</v>
      </c>
      <c r="C60" s="12"/>
      <c r="D60" s="46">
        <v>0.2</v>
      </c>
      <c r="E60" s="24" t="s">
        <v>7</v>
      </c>
      <c r="F60" s="6">
        <f>D60*Férias_Indenizadas</f>
        <v>416.66666666666674</v>
      </c>
      <c r="G60" s="7">
        <f t="shared" si="4"/>
        <v>0.00020833333333333337</v>
      </c>
      <c r="H60" s="4">
        <f t="shared" si="7"/>
        <v>0</v>
      </c>
      <c r="I60" s="40">
        <f>Férias_Indenizadas*H60*D60</f>
        <v>0</v>
      </c>
      <c r="J60" s="41">
        <f t="shared" si="5"/>
        <v>0</v>
      </c>
    </row>
    <row r="61" spans="2:10" ht="12.75" outlineLevel="2">
      <c r="B61" s="11" t="s">
        <v>22</v>
      </c>
      <c r="C61" s="12"/>
      <c r="D61" s="46"/>
      <c r="E61" s="24" t="s">
        <v>8</v>
      </c>
      <c r="F61" s="6">
        <f>D61*VT_VR</f>
        <v>0</v>
      </c>
      <c r="G61" s="7">
        <f t="shared" si="4"/>
        <v>0</v>
      </c>
      <c r="H61" s="4">
        <f t="shared" si="7"/>
        <v>1</v>
      </c>
      <c r="I61" s="40">
        <f>VT_VR*H61*D61</f>
        <v>0</v>
      </c>
      <c r="J61" s="41">
        <f t="shared" si="5"/>
        <v>0</v>
      </c>
    </row>
    <row r="62" spans="2:10" ht="12.75" outlineLevel="2">
      <c r="B62" s="21" t="s">
        <v>28</v>
      </c>
      <c r="C62" s="12"/>
      <c r="D62" s="46">
        <v>0.2</v>
      </c>
      <c r="E62" s="24" t="s">
        <v>8</v>
      </c>
      <c r="F62" s="6">
        <f>D62*Auxílio_Doença</f>
        <v>0</v>
      </c>
      <c r="G62" s="7">
        <f t="shared" si="4"/>
        <v>0</v>
      </c>
      <c r="H62" s="4">
        <f t="shared" si="7"/>
        <v>1</v>
      </c>
      <c r="I62" s="40">
        <f>Auxílio_Doença*H62*D62</f>
        <v>0</v>
      </c>
      <c r="J62" s="41">
        <f t="shared" si="5"/>
        <v>0</v>
      </c>
    </row>
    <row r="63" spans="2:10" ht="12.75" outlineLevel="2">
      <c r="B63" s="21" t="s">
        <v>29</v>
      </c>
      <c r="C63" s="12"/>
      <c r="D63" s="46">
        <v>0.2</v>
      </c>
      <c r="E63" s="24" t="s">
        <v>8</v>
      </c>
      <c r="F63" s="6">
        <f>D63*Excedente_Horas_Extras</f>
        <v>0</v>
      </c>
      <c r="G63" s="7">
        <f t="shared" si="4"/>
        <v>0</v>
      </c>
      <c r="H63" s="4">
        <f t="shared" si="7"/>
        <v>1</v>
      </c>
      <c r="I63" s="40">
        <f>Excedente_Horas_Extras*H63*D63</f>
        <v>0</v>
      </c>
      <c r="J63" s="41">
        <f t="shared" si="5"/>
        <v>0</v>
      </c>
    </row>
    <row r="64" spans="2:10" ht="12.75" outlineLevel="2">
      <c r="B64" s="21" t="s">
        <v>30</v>
      </c>
      <c r="C64" s="12"/>
      <c r="D64" s="46">
        <v>0.2</v>
      </c>
      <c r="E64" s="24" t="s">
        <v>8</v>
      </c>
      <c r="F64" s="6">
        <f>D64*Auxílio_Maternidade</f>
        <v>0</v>
      </c>
      <c r="G64" s="7">
        <f t="shared" si="4"/>
        <v>0</v>
      </c>
      <c r="H64" s="4">
        <f t="shared" si="7"/>
        <v>1</v>
      </c>
      <c r="I64" s="40">
        <f>Auxílio_Maternidade*H64*D64</f>
        <v>0</v>
      </c>
      <c r="J64" s="41">
        <f t="shared" si="5"/>
        <v>0</v>
      </c>
    </row>
    <row r="65" spans="2:10" ht="12.75" outlineLevel="2">
      <c r="B65" s="21" t="s">
        <v>31</v>
      </c>
      <c r="C65" s="12"/>
      <c r="D65" s="46">
        <v>0.2</v>
      </c>
      <c r="E65" s="24" t="s">
        <v>8</v>
      </c>
      <c r="F65" s="6">
        <f>D65*Diárias_Viagem</f>
        <v>0</v>
      </c>
      <c r="G65" s="7">
        <f t="shared" si="4"/>
        <v>0</v>
      </c>
      <c r="H65" s="4">
        <f t="shared" si="7"/>
        <v>1</v>
      </c>
      <c r="I65" s="40">
        <f>Diárias_Viagem*H65*D65</f>
        <v>0</v>
      </c>
      <c r="J65" s="41">
        <f t="shared" si="5"/>
        <v>0</v>
      </c>
    </row>
    <row r="66" spans="2:10" ht="12.75" outlineLevel="2">
      <c r="B66" s="21" t="s">
        <v>33</v>
      </c>
      <c r="C66" s="12"/>
      <c r="D66" s="46">
        <v>0.2</v>
      </c>
      <c r="E66" s="24" t="s">
        <v>8</v>
      </c>
      <c r="F66" s="6">
        <f>D66*Adicional_Noturno</f>
        <v>0</v>
      </c>
      <c r="G66" s="7">
        <f t="shared" si="4"/>
        <v>0</v>
      </c>
      <c r="H66" s="4">
        <f t="shared" si="7"/>
        <v>1</v>
      </c>
      <c r="I66" s="40">
        <f>Adicional_Noturno*H66*D66</f>
        <v>0</v>
      </c>
      <c r="J66" s="41">
        <f t="shared" si="5"/>
        <v>0</v>
      </c>
    </row>
    <row r="67" spans="2:10" ht="12.75" outlineLevel="2">
      <c r="B67" s="21" t="s">
        <v>34</v>
      </c>
      <c r="C67" s="12"/>
      <c r="D67" s="46">
        <v>0.2</v>
      </c>
      <c r="E67" s="24" t="s">
        <v>8</v>
      </c>
      <c r="F67" s="6">
        <f>D67*Adicional_Periculosidade</f>
        <v>0</v>
      </c>
      <c r="G67" s="7">
        <f t="shared" si="4"/>
        <v>0</v>
      </c>
      <c r="H67" s="4">
        <f t="shared" si="7"/>
        <v>1</v>
      </c>
      <c r="I67" s="40">
        <f>Adicional_Periculosidade*H67*D67</f>
        <v>0</v>
      </c>
      <c r="J67" s="41">
        <f t="shared" si="5"/>
        <v>0</v>
      </c>
    </row>
    <row r="68" spans="2:10" ht="12.75" outlineLevel="2">
      <c r="B68" s="21" t="s">
        <v>36</v>
      </c>
      <c r="C68" s="12"/>
      <c r="D68" s="46">
        <v>0.2</v>
      </c>
      <c r="E68" s="24" t="s">
        <v>8</v>
      </c>
      <c r="F68" s="6">
        <f>D68*DSR</f>
        <v>0</v>
      </c>
      <c r="G68" s="7">
        <f t="shared" si="4"/>
        <v>0</v>
      </c>
      <c r="H68" s="4">
        <f t="shared" si="7"/>
        <v>1</v>
      </c>
      <c r="I68" s="40">
        <f>DSR*H68*D68</f>
        <v>0</v>
      </c>
      <c r="J68" s="41">
        <f t="shared" si="5"/>
        <v>0</v>
      </c>
    </row>
    <row r="69" ht="12.75"/>
    <row r="70" spans="2:10" ht="15.75">
      <c r="B70" s="50" t="s">
        <v>40</v>
      </c>
      <c r="C70" s="51"/>
      <c r="D70" s="51"/>
      <c r="E70" s="52"/>
      <c r="F70" s="13">
        <f>Rec_Oper-Despesas_Fixas</f>
        <v>430166.66666666674</v>
      </c>
      <c r="G70" s="14">
        <f>F70/Fat_Bruto</f>
        <v>0.21508333333333338</v>
      </c>
      <c r="I70" s="36">
        <f>I35-I36</f>
        <v>445305.5555555556</v>
      </c>
      <c r="J70" s="37">
        <f>I70/Fat_Bruto</f>
        <v>0.2226527777777778</v>
      </c>
    </row>
    <row r="71" spans="2:10" ht="15">
      <c r="B71" s="53" t="s">
        <v>54</v>
      </c>
      <c r="C71" s="54"/>
      <c r="D71" s="54"/>
      <c r="E71" s="55"/>
      <c r="F71" s="9">
        <f>SUM(F72:F74)</f>
        <v>150000</v>
      </c>
      <c r="G71" s="10">
        <f>F71/Fat_Bruto</f>
        <v>0.075</v>
      </c>
      <c r="I71" s="38">
        <f>SUM(I72:I74)</f>
        <v>150000</v>
      </c>
      <c r="J71" s="39">
        <f>I71/Fat_Bruto</f>
        <v>0.075</v>
      </c>
    </row>
    <row r="72" spans="2:10" ht="12.75" outlineLevel="1">
      <c r="B72" s="47" t="s">
        <v>42</v>
      </c>
      <c r="C72" s="48"/>
      <c r="D72" s="48"/>
      <c r="E72" s="49"/>
      <c r="F72" s="6">
        <f>5%*Fat_Bruto</f>
        <v>100000</v>
      </c>
      <c r="G72" s="7">
        <f>F72/Fat_Bruto</f>
        <v>0.05</v>
      </c>
      <c r="I72" s="40">
        <f>F72</f>
        <v>100000</v>
      </c>
      <c r="J72" s="41">
        <f>I72/Fat_Bruto</f>
        <v>0.05</v>
      </c>
    </row>
    <row r="73" spans="2:10" ht="12.75" outlineLevel="1">
      <c r="B73" s="47" t="s">
        <v>41</v>
      </c>
      <c r="C73" s="48"/>
      <c r="D73" s="48"/>
      <c r="E73" s="49"/>
      <c r="F73" s="6">
        <f>Fat_Bruto*1.5%</f>
        <v>30000</v>
      </c>
      <c r="G73" s="7">
        <f>F73/Fat_Bruto</f>
        <v>0.015</v>
      </c>
      <c r="I73" s="40">
        <f>F73</f>
        <v>30000</v>
      </c>
      <c r="J73" s="41">
        <f>I73/Fat_Bruto</f>
        <v>0.015</v>
      </c>
    </row>
    <row r="74" spans="2:10" ht="12.75" outlineLevel="1">
      <c r="B74" s="47" t="s">
        <v>43</v>
      </c>
      <c r="C74" s="48"/>
      <c r="D74" s="48"/>
      <c r="E74" s="49"/>
      <c r="F74" s="6">
        <f>Fat_Bruto*0.01</f>
        <v>20000</v>
      </c>
      <c r="G74" s="7">
        <f>F74/Fat_Bruto</f>
        <v>0.01</v>
      </c>
      <c r="I74" s="40">
        <f>F74</f>
        <v>20000</v>
      </c>
      <c r="J74" s="41">
        <f>I74/Fat_Bruto</f>
        <v>0.01</v>
      </c>
    </row>
    <row r="75" ht="12.75"/>
    <row r="76" spans="2:10" ht="15.75">
      <c r="B76" s="50" t="s">
        <v>44</v>
      </c>
      <c r="C76" s="51"/>
      <c r="D76" s="51"/>
      <c r="E76" s="52"/>
      <c r="F76" s="13">
        <f>Lucro_Operacional-Desp_Financeiras</f>
        <v>280166.66666666674</v>
      </c>
      <c r="G76" s="14">
        <f>F76/Fat_Bruto</f>
        <v>0.14008333333333337</v>
      </c>
      <c r="I76" s="36">
        <f>I70-I71</f>
        <v>295305.5555555556</v>
      </c>
      <c r="J76" s="37">
        <f>I76/Fat_Bruto</f>
        <v>0.1476527777777778</v>
      </c>
    </row>
    <row r="77" spans="2:10" ht="15">
      <c r="B77" s="53" t="s">
        <v>55</v>
      </c>
      <c r="C77" s="54"/>
      <c r="D77" s="54"/>
      <c r="E77" s="55"/>
      <c r="F77" s="9">
        <f>SUM(F78:F79)</f>
        <v>75645.00000000001</v>
      </c>
      <c r="G77" s="10">
        <f>F77/Fat_Bruto</f>
        <v>0.03782250000000001</v>
      </c>
      <c r="I77" s="38">
        <f>SUM(I78:I79)</f>
        <v>75645.00000000001</v>
      </c>
      <c r="J77" s="39">
        <f>I77/Fat_Bruto</f>
        <v>0.03782250000000001</v>
      </c>
    </row>
    <row r="78" spans="2:10" ht="12.75" outlineLevel="1">
      <c r="B78" s="11" t="s">
        <v>45</v>
      </c>
      <c r="C78" s="12"/>
      <c r="D78" s="46">
        <v>0.12</v>
      </c>
      <c r="E78" s="5"/>
      <c r="F78" s="6">
        <f>D78*Lucro_Liquido</f>
        <v>33620.00000000001</v>
      </c>
      <c r="G78" s="7">
        <f>F78/Fat_Bruto</f>
        <v>0.016810000000000002</v>
      </c>
      <c r="I78" s="40">
        <f>F78</f>
        <v>33620.00000000001</v>
      </c>
      <c r="J78" s="41">
        <f>I78/Fat_Bruto</f>
        <v>0.016810000000000002</v>
      </c>
    </row>
    <row r="79" spans="2:10" ht="12.75" outlineLevel="1">
      <c r="B79" s="11" t="s">
        <v>46</v>
      </c>
      <c r="C79" s="12"/>
      <c r="D79" s="46">
        <v>0.15</v>
      </c>
      <c r="E79" s="5"/>
      <c r="F79" s="6">
        <f>D79*Lucro_Liquido</f>
        <v>42025.00000000001</v>
      </c>
      <c r="G79" s="7">
        <f>F79/Fat_Bruto</f>
        <v>0.021012500000000003</v>
      </c>
      <c r="I79" s="40">
        <f>F79</f>
        <v>42025.00000000001</v>
      </c>
      <c r="J79" s="41">
        <f>I79/Fat_Bruto</f>
        <v>0.021012500000000003</v>
      </c>
    </row>
    <row r="80" ht="12.75">
      <c r="B80" s="20"/>
    </row>
    <row r="81" spans="2:10" ht="15.75">
      <c r="B81" s="70" t="s">
        <v>47</v>
      </c>
      <c r="C81" s="71"/>
      <c r="D81" s="71"/>
      <c r="E81" s="72"/>
      <c r="F81" s="15">
        <f>Lucro_Liquido-Impostos_Lucro_Líquido</f>
        <v>204521.66666666674</v>
      </c>
      <c r="G81" s="16">
        <f>F81/Fat_Bruto</f>
        <v>0.10226083333333337</v>
      </c>
      <c r="I81" s="34">
        <f>I76-I77</f>
        <v>219660.55555555562</v>
      </c>
      <c r="J81" s="35">
        <f>I81/Fat_Bruto</f>
        <v>0.1098302777777778</v>
      </c>
    </row>
    <row r="82" spans="2:10" ht="15.75">
      <c r="B82" s="70" t="s">
        <v>6</v>
      </c>
      <c r="C82" s="71"/>
      <c r="D82" s="71"/>
      <c r="E82" s="72"/>
      <c r="F82" s="15"/>
      <c r="G82" s="16">
        <f>F82/Fat_Bruto</f>
        <v>0</v>
      </c>
      <c r="I82" s="34"/>
      <c r="J82" s="35">
        <f>I82/Fat_Bruto</f>
        <v>0</v>
      </c>
    </row>
    <row r="83" spans="2:10" ht="15.75">
      <c r="B83" s="70" t="s">
        <v>49</v>
      </c>
      <c r="C83" s="71"/>
      <c r="D83" s="71"/>
      <c r="E83" s="72"/>
      <c r="F83" s="15">
        <f>Lucro_Prejuizo_Após_IR-Reserva_Técnica</f>
        <v>204521.66666666674</v>
      </c>
      <c r="G83" s="16">
        <f>F83/Fat_Bruto</f>
        <v>0.10226083333333337</v>
      </c>
      <c r="I83" s="34">
        <f>I81-I82</f>
        <v>219660.55555555562</v>
      </c>
      <c r="J83" s="35">
        <f>I83/Fat_Bruto</f>
        <v>0.1098302777777778</v>
      </c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mergeCells count="51">
    <mergeCell ref="B53:E53"/>
    <mergeCell ref="B81:E81"/>
    <mergeCell ref="B82:E82"/>
    <mergeCell ref="B83:E83"/>
    <mergeCell ref="B74:E74"/>
    <mergeCell ref="B71:E71"/>
    <mergeCell ref="B77:E77"/>
    <mergeCell ref="B72:E72"/>
    <mergeCell ref="B73:E73"/>
    <mergeCell ref="D10:E10"/>
    <mergeCell ref="B38:E38"/>
    <mergeCell ref="B70:E70"/>
    <mergeCell ref="B76:E76"/>
    <mergeCell ref="B54:C54"/>
    <mergeCell ref="B43:E43"/>
    <mergeCell ref="B44:E44"/>
    <mergeCell ref="B45:E45"/>
    <mergeCell ref="B46:E46"/>
    <mergeCell ref="B52:E52"/>
    <mergeCell ref="D3:E3"/>
    <mergeCell ref="D4:E4"/>
    <mergeCell ref="D5:E5"/>
    <mergeCell ref="D6:E6"/>
    <mergeCell ref="D8:E8"/>
    <mergeCell ref="D9:E9"/>
    <mergeCell ref="B25:E25"/>
    <mergeCell ref="B26:E26"/>
    <mergeCell ref="B14:E14"/>
    <mergeCell ref="B29:E29"/>
    <mergeCell ref="B27:E27"/>
    <mergeCell ref="I12:J12"/>
    <mergeCell ref="B42:E42"/>
    <mergeCell ref="B35:E35"/>
    <mergeCell ref="B36:E36"/>
    <mergeCell ref="B37:E37"/>
    <mergeCell ref="B1:J1"/>
    <mergeCell ref="B31:E31"/>
    <mergeCell ref="B30:E30"/>
    <mergeCell ref="B16:E16"/>
    <mergeCell ref="B15:E15"/>
    <mergeCell ref="F12:G12"/>
    <mergeCell ref="B47:E47"/>
    <mergeCell ref="B48:E48"/>
    <mergeCell ref="B49:E49"/>
    <mergeCell ref="B50:E50"/>
    <mergeCell ref="B51:E51"/>
    <mergeCell ref="B32:E32"/>
    <mergeCell ref="B33:E33"/>
    <mergeCell ref="B39:E39"/>
    <mergeCell ref="B40:E40"/>
    <mergeCell ref="B41:E41"/>
  </mergeCells>
  <conditionalFormatting sqref="E18">
    <cfRule type="expression" priority="4" dxfId="1" stopIfTrue="1">
      <formula>H18=0</formula>
    </cfRule>
  </conditionalFormatting>
  <conditionalFormatting sqref="E19:E23">
    <cfRule type="expression" priority="3" dxfId="1" stopIfTrue="1">
      <formula>H19=0</formula>
    </cfRule>
  </conditionalFormatting>
  <conditionalFormatting sqref="E56:E68">
    <cfRule type="expression" priority="1" dxfId="0" stopIfTrue="1">
      <formula>H56=1</formula>
    </cfRule>
  </conditionalFormatting>
  <dataValidations count="1">
    <dataValidation type="list" allowBlank="1" showInputMessage="1" showErrorMessage="1" sqref="E18:E23 E55:E68">
      <formula1>$H$13:$H$14</formula1>
    </dataValidation>
  </dataValidations>
  <printOptions/>
  <pageMargins left="0.787401575" right="0.787401575" top="0.984251969" bottom="0.984251969" header="0.492125985" footer="0.492125985"/>
  <pageSetup horizontalDpi="300" verticalDpi="300" orientation="landscape" paperSize="9" scale="85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MARCOS RELVAS</dc:creator>
  <cp:keywords/>
  <dc:description/>
  <cp:lastModifiedBy>Adm</cp:lastModifiedBy>
  <cp:lastPrinted>2004-06-26T20:43:03Z</cp:lastPrinted>
  <dcterms:created xsi:type="dcterms:W3CDTF">1998-05-01T20:47:39Z</dcterms:created>
  <dcterms:modified xsi:type="dcterms:W3CDTF">2019-08-12T18:55:51Z</dcterms:modified>
  <cp:category/>
  <cp:version/>
  <cp:contentType/>
  <cp:contentStatus/>
</cp:coreProperties>
</file>